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80" windowHeight="13680" activeTab="0"/>
  </bookViews>
  <sheets>
    <sheet name="Simultanbeobacht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<sst xmlns="http://schemas.openxmlformats.org/spreadsheetml/2006/main" count="148" uniqueCount="73">
  <si>
    <t>è</t>
  </si>
  <si>
    <t>Eingabe:</t>
  </si>
  <si>
    <t>ê</t>
  </si>
  <si>
    <t>Fachgruppe Meteorastronomie (FMA)</t>
  </si>
  <si>
    <t>www.meteorastronomie.ch</t>
  </si>
  <si>
    <t>[°°:mm:ss]</t>
  </si>
  <si>
    <t>Simultanbeobachtung von Meteoren</t>
  </si>
  <si>
    <t>Stand: 01.09.2013</t>
  </si>
  <si>
    <t>Standort 1:</t>
  </si>
  <si>
    <t>Standort 2:</t>
  </si>
  <si>
    <t>östliche Länge:</t>
  </si>
  <si>
    <t>nördliche Breite:</t>
  </si>
  <si>
    <t>07:27:11</t>
  </si>
  <si>
    <t>46:51:13</t>
  </si>
  <si>
    <t>47:13:27</t>
  </si>
  <si>
    <t>Winkeldistanz X:</t>
  </si>
  <si>
    <t>Streckendistanz Y:</t>
  </si>
  <si>
    <t>[rad]</t>
  </si>
  <si>
    <t>[Grad]</t>
  </si>
  <si>
    <t>[km]</t>
  </si>
  <si>
    <t xml:space="preserve"> </t>
  </si>
  <si>
    <t>Azimut:</t>
  </si>
  <si>
    <t>Höhe:</t>
  </si>
  <si>
    <t>[°]</t>
  </si>
  <si>
    <t>(Nord = 0°)</t>
  </si>
  <si>
    <t>Blickrichtung</t>
  </si>
  <si>
    <t>Höhe</t>
  </si>
  <si>
    <t>Azimut</t>
  </si>
  <si>
    <t>Blickrichtung von Standort 1 in Richtung Meteor:</t>
  </si>
  <si>
    <t>Meteor-Fusspunkt:</t>
  </si>
  <si>
    <t>Distanz zw. Standort 1 u. 2:</t>
  </si>
  <si>
    <t>Meteor-Höhe:</t>
  </si>
  <si>
    <t>Höhe Meteor</t>
  </si>
  <si>
    <t>Distanz von 1 zu Meteor-Fusspunkt:</t>
  </si>
  <si>
    <t>sab</t>
  </si>
  <si>
    <t>lab</t>
  </si>
  <si>
    <t>[-]</t>
  </si>
  <si>
    <t>nördl. Breite M</t>
  </si>
  <si>
    <t>östl. Länge M</t>
  </si>
  <si>
    <t>plausibilisiert</t>
  </si>
  <si>
    <t>gerundet</t>
  </si>
  <si>
    <t>Grad</t>
  </si>
  <si>
    <t>Min.</t>
  </si>
  <si>
    <t>Sek.</t>
  </si>
  <si>
    <t>2-stellig</t>
  </si>
  <si>
    <t>Distanz zw. 1 und Fusspunkt:</t>
  </si>
  <si>
    <t>Blickrichtung von Standort 2 in Richtung Meteor:</t>
  </si>
  <si>
    <t>Distanz zw. 2 und Fusspunkt:</t>
  </si>
  <si>
    <r>
      <t xml:space="preserve">Azimut:    </t>
    </r>
    <r>
      <rPr>
        <sz val="10"/>
        <rFont val="Arial"/>
        <family val="2"/>
      </rPr>
      <t>(Nord = 0°)</t>
    </r>
  </si>
  <si>
    <t>Winkel-Distanz von 2 auf Meteor-Fusspunkt:</t>
  </si>
  <si>
    <t>Streckendistanz von 2 auf Meteor-Fusspunkt:</t>
  </si>
  <si>
    <t>Hilfsvariable 1</t>
  </si>
  <si>
    <t>Hilfsvariable 2</t>
  </si>
  <si>
    <t>ln</t>
  </si>
  <si>
    <t>Distanz von 1 zu Meteor</t>
  </si>
  <si>
    <t>Distanz von 2 zu Meteor:</t>
  </si>
  <si>
    <t>07:21:13</t>
  </si>
  <si>
    <t>Zwischenwert</t>
  </si>
  <si>
    <t>U</t>
  </si>
  <si>
    <t>r</t>
  </si>
  <si>
    <t>Entfernung</t>
  </si>
  <si>
    <t>Vorgabe: Grenchenberg (Pré Richard)</t>
  </si>
  <si>
    <t>Vorgabe: Sonnenturm der Rudolf Wolf Gesellschaft in Uecht</t>
  </si>
  <si>
    <t>Vorgehen:</t>
  </si>
  <si>
    <t>Beim Standort 1 (Koordinaten) wird eine Kamera installiert.</t>
  </si>
  <si>
    <t>Beim Standort 2 (Koordinaten) wird eine zweite Kamera installiert.</t>
  </si>
  <si>
    <t>Das Zentrum des Kamera-Bildfeldes wird in die gewünschte Blickrichtung (Azimut, Höhe) gerichtet. (Die Meteor-Höhe kann bei Bedarf überschrieben werden).</t>
  </si>
  <si>
    <t>Das Programm berechnet die Koordinaten des Meteor-Fusspunktes auf der Erdoberfläche sowie die Blickrichtung (Azimut, Höhe), in welche die Kamera</t>
  </si>
  <si>
    <t>Das folgende Programm dient zur Ausrichtung zweier oder mehrerer Kameras auf dasselbe Himmelsareal, in dem ein Meteor erwartet wird.</t>
  </si>
  <si>
    <t>Entfernung von 1 zum Meteor:</t>
  </si>
  <si>
    <t>Entfernung von 2 zum Meteor:</t>
  </si>
  <si>
    <t>beim Standort 2 gerichtet werden muss, damit ein Meteor von beiden Kameras erfasst wird.</t>
  </si>
  <si>
    <r>
      <t>blau:</t>
    </r>
    <r>
      <rPr>
        <sz val="10"/>
        <rFont val="Arial"/>
        <family val="2"/>
      </rPr>
      <t xml:space="preserve">   Eingabewerte</t>
    </r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</si>
</sst>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  <numFmt numFmtId="171" formatCode="0.000"/>
    <numFmt numFmtId="172" formatCode="hh:mm:ss;@"/>
    <numFmt numFmtId="173" formatCode="[$-F400]h:mm:ss\ AM/PM"/>
    <numFmt numFmtId="174" formatCode="h:mm:ss;@"/>
    <numFmt numFmtId="175" formatCode="[$-807]dddd\,\ d\.\ mmmm\ yyyy"/>
    <numFmt numFmtId="176" formatCode="hh/mm&quot; h&quot;;@"/>
    <numFmt numFmtId="177" formatCode="0.0000000000000000"/>
    <numFmt numFmtId="178" formatCode="0.000000"/>
    <numFmt numFmtId="179" formatCode="0.0000"/>
    <numFmt numFmtId="180" formatCode="0.0000000"/>
  </numFmts>
  <fonts count="9">
    <font>
      <sz val="10"/>
      <name val="Frutiger 45 Light"/>
      <family val="0"/>
    </font>
    <font>
      <sz val="10"/>
      <name val="Wingdings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2" fontId="7" fillId="2" borderId="6" xfId="0" applyNumberFormat="1" applyFont="1" applyFill="1" applyBorder="1" applyAlignment="1">
      <alignment horizontal="center" vertical="center"/>
    </xf>
    <xf numFmtId="171" fontId="7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" fontId="6" fillId="4" borderId="6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171" fontId="7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70" fontId="7" fillId="2" borderId="6" xfId="0" applyNumberFormat="1" applyFont="1" applyFill="1" applyBorder="1" applyAlignment="1">
      <alignment horizontal="center" vertical="center"/>
    </xf>
    <xf numFmtId="170" fontId="6" fillId="4" borderId="6" xfId="0" applyNumberFormat="1" applyFont="1" applyFill="1" applyBorder="1" applyAlignment="1">
      <alignment horizontal="center" vertical="center"/>
    </xf>
    <xf numFmtId="170" fontId="7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1114425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25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47"/>
  <sheetViews>
    <sheetView tabSelected="1" workbookViewId="0" topLeftCell="A1">
      <selection activeCell="C39" sqref="C39"/>
    </sheetView>
  </sheetViews>
  <sheetFormatPr defaultColWidth="11.00390625" defaultRowHeight="12.75"/>
  <cols>
    <col min="1" max="1" width="4.75390625" style="1" customWidth="1"/>
    <col min="2" max="2" width="8.00390625" style="1" customWidth="1"/>
    <col min="3" max="3" width="17.625" style="1" customWidth="1"/>
    <col min="4" max="4" width="9.125" style="1" customWidth="1"/>
    <col min="5" max="5" width="9.75390625" style="1" customWidth="1"/>
    <col min="6" max="6" width="16.125" style="1" customWidth="1"/>
    <col min="7" max="7" width="4.875" style="1" customWidth="1"/>
    <col min="8" max="8" width="8.75390625" style="1" customWidth="1"/>
    <col min="9" max="9" width="16.875" style="1" customWidth="1"/>
    <col min="10" max="10" width="11.125" style="1" customWidth="1"/>
    <col min="11" max="11" width="11.25390625" style="1" customWidth="1"/>
    <col min="12" max="12" width="14.75390625" style="1" customWidth="1"/>
    <col min="13" max="16384" width="11.375" style="1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spans="9:12" ht="14.25" customHeight="1">
      <c r="I8" s="2"/>
      <c r="L8" s="23" t="s">
        <v>3</v>
      </c>
    </row>
    <row r="9" spans="2:18" ht="14.25" customHeight="1">
      <c r="B9" s="9" t="s">
        <v>6</v>
      </c>
      <c r="C9" s="10"/>
      <c r="I9" s="2"/>
      <c r="L9" s="23" t="s">
        <v>4</v>
      </c>
      <c r="R9" s="10"/>
    </row>
    <row r="10" spans="1:12" ht="14.25" customHeight="1">
      <c r="A10" s="8"/>
      <c r="L10" s="23" t="s">
        <v>7</v>
      </c>
    </row>
    <row r="12" ht="12.75">
      <c r="B12" s="1" t="s">
        <v>68</v>
      </c>
    </row>
    <row r="14" ht="12.75">
      <c r="B14" s="1" t="s">
        <v>63</v>
      </c>
    </row>
    <row r="15" ht="12.75">
      <c r="B15" s="1" t="s">
        <v>64</v>
      </c>
    </row>
    <row r="16" ht="12.75">
      <c r="B16" s="1" t="s">
        <v>66</v>
      </c>
    </row>
    <row r="17" ht="12.75">
      <c r="B17" s="1" t="s">
        <v>65</v>
      </c>
    </row>
    <row r="18" ht="12.75">
      <c r="B18" s="1" t="s">
        <v>67</v>
      </c>
    </row>
    <row r="19" ht="12.75">
      <c r="B19" s="1" t="s">
        <v>71</v>
      </c>
    </row>
    <row r="20" spans="2:8" s="2" customFormat="1" ht="15.75">
      <c r="B20" s="1"/>
      <c r="H20" s="8"/>
    </row>
    <row r="21" spans="2:8" s="2" customFormat="1" ht="15.75">
      <c r="B21" s="43" t="s">
        <v>72</v>
      </c>
      <c r="H21" s="8"/>
    </row>
    <row r="23" spans="2:12" ht="12.75">
      <c r="B23" s="25" t="s">
        <v>8</v>
      </c>
      <c r="C23" s="3"/>
      <c r="D23" s="3"/>
      <c r="E23" s="3"/>
      <c r="F23" s="11" t="s">
        <v>1</v>
      </c>
      <c r="H23" s="25" t="s">
        <v>9</v>
      </c>
      <c r="I23" s="3"/>
      <c r="J23" s="3"/>
      <c r="K23" s="3"/>
      <c r="L23" s="11" t="s">
        <v>1</v>
      </c>
    </row>
    <row r="24" spans="2:12" ht="15.75" customHeight="1">
      <c r="B24" s="12"/>
      <c r="C24" s="4"/>
      <c r="D24" s="4"/>
      <c r="E24" s="4"/>
      <c r="F24" s="5" t="s">
        <v>2</v>
      </c>
      <c r="H24" s="12"/>
      <c r="I24" s="4"/>
      <c r="J24" s="4"/>
      <c r="K24" s="4"/>
      <c r="L24" s="5" t="s">
        <v>2</v>
      </c>
    </row>
    <row r="25" spans="2:12" ht="19.5" customHeight="1">
      <c r="B25" s="13" t="s">
        <v>10</v>
      </c>
      <c r="C25" s="4"/>
      <c r="D25" s="4"/>
      <c r="E25" s="6" t="s">
        <v>5</v>
      </c>
      <c r="F25" s="20" t="s">
        <v>56</v>
      </c>
      <c r="H25" s="13" t="s">
        <v>10</v>
      </c>
      <c r="I25" s="4"/>
      <c r="J25" s="4"/>
      <c r="K25" s="6" t="s">
        <v>5</v>
      </c>
      <c r="L25" s="20" t="s">
        <v>12</v>
      </c>
    </row>
    <row r="26" spans="2:12" ht="18" customHeight="1">
      <c r="B26" s="24" t="s">
        <v>11</v>
      </c>
      <c r="C26" s="14"/>
      <c r="D26" s="15"/>
      <c r="E26" s="7" t="s">
        <v>5</v>
      </c>
      <c r="F26" s="20" t="s">
        <v>14</v>
      </c>
      <c r="H26" s="13" t="s">
        <v>11</v>
      </c>
      <c r="I26" s="34"/>
      <c r="J26" s="4"/>
      <c r="K26" s="6" t="s">
        <v>5</v>
      </c>
      <c r="L26" s="20" t="s">
        <v>13</v>
      </c>
    </row>
    <row r="27" spans="2:12" ht="17.25" customHeight="1">
      <c r="B27" s="42" t="s">
        <v>61</v>
      </c>
      <c r="H27" s="22" t="s">
        <v>0</v>
      </c>
      <c r="I27" s="14" t="s">
        <v>30</v>
      </c>
      <c r="J27" s="15"/>
      <c r="K27" s="7" t="s">
        <v>19</v>
      </c>
      <c r="L27" s="17">
        <f>Tabelle2!D28</f>
        <v>41.859</v>
      </c>
    </row>
    <row r="28" spans="3:8" ht="16.5" customHeight="1">
      <c r="C28" s="1" t="s">
        <v>20</v>
      </c>
      <c r="H28" s="42" t="s">
        <v>62</v>
      </c>
    </row>
    <row r="31" spans="2:12" ht="12.75">
      <c r="B31" s="25" t="s">
        <v>28</v>
      </c>
      <c r="C31" s="3"/>
      <c r="D31" s="3"/>
      <c r="E31" s="3"/>
      <c r="F31" s="11" t="s">
        <v>1</v>
      </c>
      <c r="H31" s="25" t="s">
        <v>29</v>
      </c>
      <c r="I31" s="3"/>
      <c r="J31" s="3"/>
      <c r="K31" s="3"/>
      <c r="L31" s="11"/>
    </row>
    <row r="32" spans="2:12" ht="12.75">
      <c r="B32" s="12"/>
      <c r="C32" s="4"/>
      <c r="D32" s="4"/>
      <c r="E32" s="4"/>
      <c r="F32" s="5" t="s">
        <v>2</v>
      </c>
      <c r="H32" s="12"/>
      <c r="I32" s="4"/>
      <c r="J32" s="4"/>
      <c r="K32" s="4"/>
      <c r="L32" s="5"/>
    </row>
    <row r="33" spans="2:12" s="18" customFormat="1" ht="21.75" customHeight="1">
      <c r="B33" s="13" t="s">
        <v>21</v>
      </c>
      <c r="C33" s="19" t="s">
        <v>24</v>
      </c>
      <c r="D33" s="19"/>
      <c r="E33" s="6" t="s">
        <v>23</v>
      </c>
      <c r="F33" s="38">
        <v>115</v>
      </c>
      <c r="H33" s="32" t="s">
        <v>0</v>
      </c>
      <c r="I33" s="35" t="s">
        <v>10</v>
      </c>
      <c r="J33" s="19"/>
      <c r="K33" s="6" t="s">
        <v>5</v>
      </c>
      <c r="L33" s="16" t="str">
        <f>Tabelle2!D59&amp;":"&amp;Tabelle2!D63&amp;":"&amp;Tabelle2!D66</f>
        <v>08:32:58</v>
      </c>
    </row>
    <row r="34" spans="2:12" s="18" customFormat="1" ht="21.75" customHeight="1">
      <c r="B34" s="13" t="s">
        <v>22</v>
      </c>
      <c r="C34" s="19"/>
      <c r="D34" s="19"/>
      <c r="E34" s="6" t="s">
        <v>23</v>
      </c>
      <c r="F34" s="38">
        <v>45</v>
      </c>
      <c r="G34" s="18" t="s">
        <v>20</v>
      </c>
      <c r="H34" s="32" t="s">
        <v>0</v>
      </c>
      <c r="I34" s="35" t="s">
        <v>11</v>
      </c>
      <c r="J34" s="19"/>
      <c r="K34" s="6" t="s">
        <v>5</v>
      </c>
      <c r="L34" s="16" t="str">
        <f>Tabelle2!D46&amp;":"&amp;Tabelle2!D50&amp;":"&amp;Tabelle2!D52</f>
        <v>46:50:39</v>
      </c>
    </row>
    <row r="35" spans="2:12" s="18" customFormat="1" ht="21.75" customHeight="1">
      <c r="B35" s="24" t="s">
        <v>31</v>
      </c>
      <c r="C35" s="21"/>
      <c r="D35" s="21"/>
      <c r="E35" s="7" t="s">
        <v>19</v>
      </c>
      <c r="F35" s="30">
        <v>100</v>
      </c>
      <c r="H35" s="32" t="s">
        <v>0</v>
      </c>
      <c r="I35" s="35" t="s">
        <v>45</v>
      </c>
      <c r="J35" s="19"/>
      <c r="K35" s="6" t="s">
        <v>19</v>
      </c>
      <c r="L35" s="17">
        <f>Tabelle2!D37</f>
        <v>100.0000026794897</v>
      </c>
    </row>
    <row r="36" spans="8:12" ht="18.75" customHeight="1">
      <c r="H36" s="22" t="s">
        <v>0</v>
      </c>
      <c r="I36" s="36" t="s">
        <v>69</v>
      </c>
      <c r="J36" s="21"/>
      <c r="K36" s="7" t="s">
        <v>19</v>
      </c>
      <c r="L36" s="17">
        <f>Tabelle2!D38</f>
        <v>141.42135813199485</v>
      </c>
    </row>
    <row r="40" spans="8:12" ht="12.75">
      <c r="H40" s="25" t="s">
        <v>46</v>
      </c>
      <c r="I40" s="3"/>
      <c r="J40" s="3"/>
      <c r="K40" s="3"/>
      <c r="L40" s="11"/>
    </row>
    <row r="41" spans="8:12" ht="12.75">
      <c r="H41" s="12"/>
      <c r="I41" s="4"/>
      <c r="J41" s="4"/>
      <c r="K41" s="4"/>
      <c r="L41" s="5"/>
    </row>
    <row r="42" spans="1:12" s="18" customFormat="1" ht="21.75" customHeight="1">
      <c r="A42" s="1"/>
      <c r="B42" s="1"/>
      <c r="C42" s="1"/>
      <c r="D42" s="1"/>
      <c r="E42" s="1"/>
      <c r="F42" s="1"/>
      <c r="H42" s="32" t="s">
        <v>0</v>
      </c>
      <c r="I42" s="35" t="s">
        <v>48</v>
      </c>
      <c r="J42" s="19"/>
      <c r="K42" s="40" t="s">
        <v>23</v>
      </c>
      <c r="L42" s="37">
        <f>Tabelle2!D89</f>
        <v>90.32693364762896</v>
      </c>
    </row>
    <row r="43" spans="1:12" s="18" customFormat="1" ht="21.75" customHeight="1">
      <c r="A43" s="1"/>
      <c r="B43" s="1"/>
      <c r="C43" s="1"/>
      <c r="D43" s="1"/>
      <c r="E43" s="1"/>
      <c r="F43" s="1"/>
      <c r="G43" s="18" t="s">
        <v>20</v>
      </c>
      <c r="H43" s="32" t="s">
        <v>0</v>
      </c>
      <c r="I43" s="35" t="s">
        <v>22</v>
      </c>
      <c r="J43" s="19"/>
      <c r="K43" s="40" t="s">
        <v>23</v>
      </c>
      <c r="L43" s="39">
        <f>Tabelle2!D75</f>
        <v>50.2</v>
      </c>
    </row>
    <row r="44" spans="1:12" s="18" customFormat="1" ht="21.75" customHeight="1">
      <c r="A44" s="1"/>
      <c r="B44" s="1"/>
      <c r="C44" s="1"/>
      <c r="D44" s="1"/>
      <c r="E44" s="1"/>
      <c r="F44" s="1"/>
      <c r="H44" s="32" t="s">
        <v>0</v>
      </c>
      <c r="I44" s="35" t="s">
        <v>47</v>
      </c>
      <c r="J44" s="19"/>
      <c r="K44" s="40" t="s">
        <v>19</v>
      </c>
      <c r="L44" s="33">
        <f>Tabelle2!D71</f>
        <v>83.332</v>
      </c>
    </row>
    <row r="45" spans="8:12" ht="18.75" customHeight="1">
      <c r="H45" s="22" t="s">
        <v>0</v>
      </c>
      <c r="I45" s="36" t="s">
        <v>70</v>
      </c>
      <c r="J45" s="21"/>
      <c r="K45" s="41" t="s">
        <v>19</v>
      </c>
      <c r="L45" s="33">
        <f>Tabelle2!D72</f>
        <v>130.16997435660804</v>
      </c>
    </row>
    <row r="47" ht="12.75">
      <c r="C47" s="1" t="s">
        <v>20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90"/>
  <sheetViews>
    <sheetView workbookViewId="0" topLeftCell="A1">
      <selection activeCell="A92" sqref="A92"/>
    </sheetView>
  </sheetViews>
  <sheetFormatPr defaultColWidth="11.00390625" defaultRowHeight="12.75"/>
  <cols>
    <col min="1" max="1" width="14.125" style="0" customWidth="1"/>
    <col min="4" max="4" width="13.625" style="27" bestFit="1" customWidth="1"/>
    <col min="5" max="5" width="7.875" style="26" customWidth="1"/>
  </cols>
  <sheetData>
    <row r="10" ht="12.75">
      <c r="A10" t="s">
        <v>8</v>
      </c>
    </row>
    <row r="11" spans="2:4" ht="12.75">
      <c r="B11" t="s">
        <v>10</v>
      </c>
      <c r="D11" s="27" t="str">
        <f>Simultanbeobachtung!F25</f>
        <v>07:21:13</v>
      </c>
    </row>
    <row r="12" ht="12.75">
      <c r="D12" s="27">
        <f>LEFT(D11,2)+MID(D11,4,2)/60+RIGHT(D11,2)/3600</f>
        <v>7.35361111111111</v>
      </c>
    </row>
    <row r="13" spans="4:5" ht="12.75">
      <c r="D13" s="27">
        <f>D12*3.1415926/180</f>
        <v>0.12834472361080246</v>
      </c>
      <c r="E13" s="26" t="s">
        <v>17</v>
      </c>
    </row>
    <row r="14" spans="2:4" ht="12.75">
      <c r="B14" t="s">
        <v>11</v>
      </c>
      <c r="D14" s="28" t="str">
        <f>Simultanbeobachtung!F26</f>
        <v>47:13:27</v>
      </c>
    </row>
    <row r="15" ht="12.75">
      <c r="D15" s="27">
        <f>LEFT(D14,2)+MID(D14,4,2)/60+RIGHT(D14,2)/3600</f>
        <v>47.22416666666667</v>
      </c>
    </row>
    <row r="16" spans="4:5" ht="12.75">
      <c r="D16" s="27">
        <f>D15*3.1415926/180</f>
        <v>0.8242171807842594</v>
      </c>
      <c r="E16" s="26" t="s">
        <v>17</v>
      </c>
    </row>
    <row r="18" ht="12.75">
      <c r="A18" t="s">
        <v>9</v>
      </c>
    </row>
    <row r="19" spans="2:4" ht="12.75">
      <c r="B19" t="s">
        <v>10</v>
      </c>
      <c r="D19" s="27" t="str">
        <f>Simultanbeobachtung!L25</f>
        <v>07:27:11</v>
      </c>
    </row>
    <row r="20" ht="12.75">
      <c r="D20" s="27">
        <f>LEFT(D19,2)+MID(D19,4,2)/60+RIGHT(D19,2)/3600</f>
        <v>7.453055555555555</v>
      </c>
    </row>
    <row r="21" spans="4:5" ht="12.75">
      <c r="D21" s="27">
        <f>D20*3.1415926/180</f>
        <v>0.1300803565595679</v>
      </c>
      <c r="E21" s="26" t="s">
        <v>17</v>
      </c>
    </row>
    <row r="22" spans="2:4" ht="12.75">
      <c r="B22" t="s">
        <v>11</v>
      </c>
      <c r="D22" s="28" t="str">
        <f>Simultanbeobachtung!L26</f>
        <v>46:51:13</v>
      </c>
    </row>
    <row r="23" ht="12.75">
      <c r="D23" s="27">
        <f>LEFT(D22,2)+MID(D22,4,2)/60+RIGHT(D22,2)/3600</f>
        <v>46.853611111111114</v>
      </c>
    </row>
    <row r="24" spans="4:5" ht="12.75">
      <c r="D24" s="27">
        <f>D23*3.1415926/180</f>
        <v>0.8177497663885803</v>
      </c>
      <c r="E24" s="26" t="s">
        <v>17</v>
      </c>
    </row>
    <row r="26" spans="2:5" ht="12.75">
      <c r="B26" t="s">
        <v>15</v>
      </c>
      <c r="D26" s="27">
        <f>ACOS(COS(D16-D24)-COS(D16)*COS(D24)+COS(D16)*COS(D24)*COS(D13-D21))</f>
        <v>0.006574688616933333</v>
      </c>
      <c r="E26" s="26" t="s">
        <v>17</v>
      </c>
    </row>
    <row r="27" spans="4:5" ht="12.75">
      <c r="D27" s="27">
        <f>D26*180/3.1414526</f>
        <v>0.37671870364938814</v>
      </c>
      <c r="E27" s="26" t="s">
        <v>18</v>
      </c>
    </row>
    <row r="28" spans="2:5" ht="12.75">
      <c r="B28" t="s">
        <v>16</v>
      </c>
      <c r="D28" s="29">
        <f>TRUNC(ROUND(D26*60*1852*180/3.1415926/1000,3),3)</f>
        <v>41.859</v>
      </c>
      <c r="E28" s="26" t="s">
        <v>19</v>
      </c>
    </row>
    <row r="29" ht="12.75">
      <c r="D29" s="29"/>
    </row>
    <row r="30" ht="12.75">
      <c r="D30" s="29"/>
    </row>
    <row r="31" spans="1:4" ht="12.75">
      <c r="A31" t="s">
        <v>25</v>
      </c>
      <c r="B31" t="s">
        <v>27</v>
      </c>
      <c r="D31" s="28">
        <f>Simultanbeobachtung!F33</f>
        <v>115</v>
      </c>
    </row>
    <row r="32" spans="4:5" ht="12.75">
      <c r="D32" s="31">
        <f>D31*3.1415926/180</f>
        <v>2.0071286055555553</v>
      </c>
      <c r="E32" s="26" t="s">
        <v>17</v>
      </c>
    </row>
    <row r="33" spans="2:4" ht="12.75">
      <c r="B33" t="s">
        <v>26</v>
      </c>
      <c r="D33" s="27">
        <f>Simultanbeobachtung!F34</f>
        <v>45</v>
      </c>
    </row>
    <row r="34" spans="4:5" ht="12.75">
      <c r="D34" s="27">
        <f>D33*3.1415926/180</f>
        <v>0.78539815</v>
      </c>
      <c r="E34" s="26" t="s">
        <v>17</v>
      </c>
    </row>
    <row r="35" spans="2:4" ht="12.75">
      <c r="B35" t="s">
        <v>32</v>
      </c>
      <c r="D35" s="27">
        <f>Simultanbeobachtung!F35</f>
        <v>100</v>
      </c>
    </row>
    <row r="37" spans="1:6" ht="12.75">
      <c r="A37" t="s">
        <v>33</v>
      </c>
      <c r="D37" s="27">
        <f>D35/TAN(D34)</f>
        <v>100.0000026794897</v>
      </c>
      <c r="E37" s="26" t="s">
        <v>19</v>
      </c>
      <c r="F37" t="s">
        <v>35</v>
      </c>
    </row>
    <row r="38" spans="1:5" ht="12.75">
      <c r="A38" t="s">
        <v>54</v>
      </c>
      <c r="D38" s="27">
        <f>SQRT(D35*D35+D37*D37)</f>
        <v>141.42135813199485</v>
      </c>
      <c r="E38" s="26" t="s">
        <v>19</v>
      </c>
    </row>
    <row r="40" spans="1:5" ht="12.75">
      <c r="A40" t="s">
        <v>34</v>
      </c>
      <c r="D40" s="27">
        <f>D37/6371</f>
        <v>0.015696123478180772</v>
      </c>
      <c r="E40" s="26" t="s">
        <v>36</v>
      </c>
    </row>
    <row r="42" spans="1:5" ht="12.75">
      <c r="A42" t="s">
        <v>37</v>
      </c>
      <c r="D42" s="27">
        <f>D16+D40*COS(D32)</f>
        <v>0.8175837128508955</v>
      </c>
      <c r="E42" s="26" t="s">
        <v>17</v>
      </c>
    </row>
    <row r="43" spans="4:5" ht="12.75">
      <c r="D43" s="27">
        <f>D42*180/3.1415926</f>
        <v>46.84409694406626</v>
      </c>
      <c r="E43" s="26" t="s">
        <v>18</v>
      </c>
    </row>
    <row r="44" ht="12.75">
      <c r="D44" s="27">
        <f>TRUNC(D43)</f>
        <v>46</v>
      </c>
    </row>
    <row r="45" spans="2:6" ht="12.75">
      <c r="B45" t="s">
        <v>41</v>
      </c>
      <c r="D45" s="27">
        <f>IF(D49&gt;=60,D44+1,D44)</f>
        <v>46</v>
      </c>
      <c r="F45" t="s">
        <v>39</v>
      </c>
    </row>
    <row r="46" spans="4:6" ht="12.75">
      <c r="D46" s="28">
        <f>IF(D45&lt;10,"0"&amp;D45,D45)</f>
        <v>46</v>
      </c>
      <c r="F46" t="s">
        <v>44</v>
      </c>
    </row>
    <row r="47" ht="12.75">
      <c r="D47" s="27">
        <f>(D43-D44)*60</f>
        <v>50.64581664397551</v>
      </c>
    </row>
    <row r="48" ht="12.75">
      <c r="D48" s="27">
        <f>TRUNC(D47)</f>
        <v>50</v>
      </c>
    </row>
    <row r="49" spans="2:6" ht="12.75">
      <c r="B49" t="s">
        <v>42</v>
      </c>
      <c r="D49" s="27">
        <f>IF(D51&gt;=60,D48+1,D48)</f>
        <v>50</v>
      </c>
      <c r="F49" t="s">
        <v>39</v>
      </c>
    </row>
    <row r="50" spans="4:6" ht="12.75">
      <c r="D50" s="28">
        <f>IF(D49&lt;10,"0"&amp;D49,D49)</f>
        <v>50</v>
      </c>
      <c r="F50" t="s">
        <v>44</v>
      </c>
    </row>
    <row r="51" spans="2:6" ht="12.75">
      <c r="B51" t="s">
        <v>43</v>
      </c>
      <c r="D51" s="27">
        <f>ROUND((D47-D48)*60,0)</f>
        <v>39</v>
      </c>
      <c r="F51" t="s">
        <v>40</v>
      </c>
    </row>
    <row r="52" spans="4:6" ht="12.75">
      <c r="D52" s="28">
        <f>IF(D51&lt;10,"0"&amp;D51,D51)</f>
        <v>39</v>
      </c>
      <c r="F52" t="s">
        <v>44</v>
      </c>
    </row>
    <row r="55" spans="1:5" ht="12.75">
      <c r="A55" t="s">
        <v>38</v>
      </c>
      <c r="D55" s="27">
        <f>D13+(D40*SIN(D32))/(COS((D16+D42)/2))</f>
        <v>0.1492166431204664</v>
      </c>
      <c r="E55" s="26" t="s">
        <v>17</v>
      </c>
    </row>
    <row r="56" spans="4:5" ht="12.75">
      <c r="D56" s="27">
        <f>D55*180/3.1415926</f>
        <v>8.549484029751008</v>
      </c>
      <c r="E56" s="26" t="s">
        <v>18</v>
      </c>
    </row>
    <row r="57" ht="12.75">
      <c r="D57" s="27">
        <f>TRUNC(D56)</f>
        <v>8</v>
      </c>
    </row>
    <row r="58" spans="4:6" ht="12.75">
      <c r="D58" s="27">
        <f>IF(D62&gt;=60,D57+1,D57)</f>
        <v>8</v>
      </c>
      <c r="F58" t="s">
        <v>39</v>
      </c>
    </row>
    <row r="59" spans="4:6" ht="12.75">
      <c r="D59" s="28" t="str">
        <f>IF(D58&lt;10,"0"&amp;D58,D58)</f>
        <v>08</v>
      </c>
      <c r="F59" t="s">
        <v>44</v>
      </c>
    </row>
    <row r="60" ht="12.75">
      <c r="D60" s="31">
        <f>(D56-D57)*60</f>
        <v>32.969041785060504</v>
      </c>
    </row>
    <row r="61" ht="12.75">
      <c r="D61" s="27">
        <f>TRUNC(D60)</f>
        <v>32</v>
      </c>
    </row>
    <row r="62" spans="4:6" ht="12.75">
      <c r="D62" s="27">
        <f>IF(D65&gt;=60,D61+1,D61)</f>
        <v>32</v>
      </c>
      <c r="F62" t="s">
        <v>39</v>
      </c>
    </row>
    <row r="63" spans="2:6" ht="12.75">
      <c r="B63" t="s">
        <v>42</v>
      </c>
      <c r="D63" s="28">
        <f>IF(D62&lt;10,"0"&amp;D62,D62)</f>
        <v>32</v>
      </c>
      <c r="F63" t="s">
        <v>44</v>
      </c>
    </row>
    <row r="64" ht="12.75">
      <c r="D64" s="27">
        <f>(D60-D61)*60</f>
        <v>58.142507103630265</v>
      </c>
    </row>
    <row r="65" spans="4:6" ht="12.75">
      <c r="D65" s="27">
        <f>ROUND(D64,0)</f>
        <v>58</v>
      </c>
      <c r="F65" t="s">
        <v>40</v>
      </c>
    </row>
    <row r="66" spans="2:6" ht="12.75">
      <c r="B66" t="s">
        <v>43</v>
      </c>
      <c r="D66" s="28">
        <f>IF(D65&lt;10,"0"&amp;D65,D65)</f>
        <v>58</v>
      </c>
      <c r="F66" t="s">
        <v>44</v>
      </c>
    </row>
    <row r="69" spans="1:5" ht="12.75">
      <c r="A69" t="s">
        <v>49</v>
      </c>
      <c r="D69" s="27">
        <f>ACOS(COS(D24-D42)-COS(D24)*COS(D42)+COS(D24)*COS(D42)*COS(D21-D55))</f>
        <v>0.013088737597582556</v>
      </c>
      <c r="E69" s="26" t="s">
        <v>17</v>
      </c>
    </row>
    <row r="70" spans="4:5" ht="12.75">
      <c r="D70" s="27">
        <f>D69*180/3.1415926</f>
        <v>0.7499294362880979</v>
      </c>
      <c r="E70" s="26" t="s">
        <v>18</v>
      </c>
    </row>
    <row r="71" spans="1:5" ht="12.75">
      <c r="A71" t="s">
        <v>50</v>
      </c>
      <c r="D71" s="27">
        <f>ROUND((60*1852*D70)/1000,3)</f>
        <v>83.332</v>
      </c>
      <c r="E71" s="26" t="s">
        <v>19</v>
      </c>
    </row>
    <row r="72" spans="1:5" ht="12.75">
      <c r="A72" t="s">
        <v>55</v>
      </c>
      <c r="D72" s="27">
        <f>SQRT(D35*D35+D71*D71)</f>
        <v>130.16997435660804</v>
      </c>
      <c r="E72" s="26" t="s">
        <v>19</v>
      </c>
    </row>
    <row r="74" spans="1:5" ht="12.75">
      <c r="A74" t="s">
        <v>22</v>
      </c>
      <c r="D74" s="27">
        <f>ATAN(D35/D71)</f>
        <v>0.8760659195022517</v>
      </c>
      <c r="E74" s="26" t="s">
        <v>17</v>
      </c>
    </row>
    <row r="75" spans="4:5" ht="12.75">
      <c r="D75" s="27">
        <f>ROUND(D74*180/3.1415926,1)</f>
        <v>50.2</v>
      </c>
      <c r="E75" s="26" t="s">
        <v>18</v>
      </c>
    </row>
    <row r="77" spans="1:4" ht="12.75">
      <c r="A77" t="s">
        <v>51</v>
      </c>
      <c r="D77" s="27">
        <f>TAN(D42/2+3.1415926/4)</f>
        <v>2.528553961332666</v>
      </c>
    </row>
    <row r="78" spans="1:4" ht="12.75">
      <c r="A78" t="s">
        <v>52</v>
      </c>
      <c r="D78" s="27">
        <f>TAN(D24/2+3.1415926/4)</f>
        <v>2.529167955718575</v>
      </c>
    </row>
    <row r="79" spans="1:4" ht="12.75">
      <c r="A79" t="s">
        <v>53</v>
      </c>
      <c r="D79" s="27">
        <f>LN(D77/D78)</f>
        <v>-0.00024279483886034654</v>
      </c>
    </row>
    <row r="81" spans="4:5" ht="12.75">
      <c r="D81" s="27">
        <f>ATAN((D55-D21)/D79+SIGN(D55-D21)*(1-SIGN(D42-D24))*3.1415926/2)</f>
        <v>-1.5575827099160857</v>
      </c>
      <c r="E81" s="26" t="s">
        <v>17</v>
      </c>
    </row>
    <row r="82" spans="4:5" ht="12.75">
      <c r="D82" s="27">
        <f>ROUND(D81*180/3.1415926,1)</f>
        <v>-89.2</v>
      </c>
      <c r="E82" s="26" t="s">
        <v>18</v>
      </c>
    </row>
    <row r="83" ht="12.75">
      <c r="D83" s="27">
        <f>IF(D82&lt;0,D82+360,D82)</f>
        <v>270.8</v>
      </c>
    </row>
    <row r="85" spans="1:4" ht="12.75">
      <c r="A85" t="s">
        <v>57</v>
      </c>
      <c r="D85" s="27">
        <f>SIN(D24)*SIN(D42)+COS(D24)*COS(D42)*COS(D21-D55)</f>
        <v>0.9999143436969125</v>
      </c>
    </row>
    <row r="86" spans="1:4" ht="12.75">
      <c r="A86" t="s">
        <v>58</v>
      </c>
      <c r="D86" s="27">
        <f>IF((D21-D55)&lt;0,0,2*3.1415926)</f>
        <v>0</v>
      </c>
    </row>
    <row r="87" spans="1:4" ht="12.75">
      <c r="A87" t="s">
        <v>59</v>
      </c>
      <c r="D87" s="27">
        <v>6371</v>
      </c>
    </row>
    <row r="88" spans="1:5" ht="12.75">
      <c r="A88" t="s">
        <v>27</v>
      </c>
      <c r="D88" s="27">
        <f>ABS(ACOS(SIN(D42)/SIN(ACOS(D85))/COS(D24)-TAN(D24)/TAN(ACOS(D85)))-D86)</f>
        <v>1.5765023684893453</v>
      </c>
      <c r="E88" s="26" t="s">
        <v>17</v>
      </c>
    </row>
    <row r="89" spans="4:5" ht="12.75">
      <c r="D89" s="27">
        <f>D88*180/3.1415926</f>
        <v>90.32693364762896</v>
      </c>
      <c r="E89" s="26" t="s">
        <v>18</v>
      </c>
    </row>
    <row r="90" spans="1:4" ht="12.75">
      <c r="A90" t="s">
        <v>60</v>
      </c>
      <c r="D90" s="27">
        <f>D87*ACOS(D85)</f>
        <v>83.38834723419846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http://www.meteorastronomie.ch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Fachgruppe Meteorastronomie</dc:title>
  <dc:subject>Simultanbeobachtung von Meteoren</dc:subject>
  <dc:creator>Jonas Schenker</dc:creator>
  <cp:keywords/>
  <dc:description/>
  <cp:lastModifiedBy>Jonas Schenker</cp:lastModifiedBy>
  <cp:lastPrinted>2013-06-20T18:07:31Z</cp:lastPrinted>
  <dcterms:created xsi:type="dcterms:W3CDTF">2013-06-20T05:35:35Z</dcterms:created>
  <dcterms:modified xsi:type="dcterms:W3CDTF">2013-09-03T18:59:07Z</dcterms:modified>
  <cp:category/>
  <cp:version/>
  <cp:contentType/>
  <cp:contentStatus/>
</cp:coreProperties>
</file>